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Sheet1" sheetId="1" r:id="rId1"/>
    <sheet name="Chart1" sheetId="2" r:id="rId2"/>
  </sheets>
  <definedNames>
    <definedName name="angleCM">'Sheet1'!$E$30</definedName>
    <definedName name="avogadro">'Sheet1'!$B$18</definedName>
    <definedName name="channelSb">'Sheet1'!$E$35</definedName>
    <definedName name="channelSi">'Sheet1'!$E$36</definedName>
    <definedName name="charge">'Sheet1'!$B$40</definedName>
    <definedName name="chargestate">'Sheet1'!$B$41</definedName>
    <definedName name="chargestate0">'Sheet1'!$C$41</definedName>
    <definedName name="constant1">'Sheet1'!$E$5</definedName>
    <definedName name="constant2">'Sheet1'!$E$6</definedName>
    <definedName name="constant3">'Sheet1'!$E$23</definedName>
    <definedName name="cos_angle">'Sheet1'!$E$21</definedName>
    <definedName name="counts">'Sheet1'!$B$39</definedName>
    <definedName name="delta_in">'Sheet1'!$B$26</definedName>
    <definedName name="delta_out">'Sheet1'!$B$30</definedName>
    <definedName name="density">'Sheet1'!$B$14</definedName>
    <definedName name="depth">'Sheet1'!$B$24</definedName>
    <definedName name="detector">'Sheet1'!$B$20</definedName>
    <definedName name="dispersion">'Sheet1'!$B$37</definedName>
    <definedName name="dispersion1">'Sheet1'!$C$37</definedName>
    <definedName name="dose">'Sheet1'!$B$43</definedName>
    <definedName name="dose1">'Sheet1'!$C$43</definedName>
    <definedName name="e0">'Sheet1'!$B$4</definedName>
    <definedName name="e00">'Sheet1'!$B$28</definedName>
    <definedName name="eBi">'Sheet1'!$C$31</definedName>
    <definedName name="ecm">'Sheet1'!$E$7</definedName>
    <definedName name="ecm_cor">'Sheet1'!$E$9</definedName>
    <definedName name="ee0">'Sheet1'!$B$4</definedName>
    <definedName name="en0">'Sheet1'!$C$4</definedName>
    <definedName name="en00">'Sheet1'!$C$28</definedName>
    <definedName name="eout">'Sheet1'!$B$27</definedName>
    <definedName name="eSi">'Sheet1'!$C$36</definedName>
    <definedName name="fluence">'Sheet1'!$B$42</definedName>
    <definedName name="fluence1">'Sheet1'!$C$42</definedName>
    <definedName name="fract2">'Sheet1'!$E$27</definedName>
    <definedName name="kinematic">'Sheet1'!$B$23</definedName>
    <definedName name="kSi">'Sheet1'!$B$35</definedName>
    <definedName name="mass1">'Sheet1'!$B$11</definedName>
    <definedName name="mass2">'Sheet1'!$B$12</definedName>
    <definedName name="mass3">'Sheet1'!$B$13</definedName>
    <definedName name="par1">'Sheet1'!$B$5</definedName>
    <definedName name="par2">'Sheet1'!$B$6</definedName>
    <definedName name="par3">'Sheet1'!$B$7</definedName>
    <definedName name="par4">'Sheet1'!$B$8</definedName>
    <definedName name="par5">'Sheet1'!$B$9</definedName>
    <definedName name="para0">'Sheet1'!$F$4</definedName>
    <definedName name="para1">'Sheet1'!$F$5</definedName>
    <definedName name="para2">'Sheet1'!$F$6</definedName>
    <definedName name="para3">'Sheet1'!$F$7</definedName>
    <definedName name="para4">'Sheet1'!$F$8</definedName>
    <definedName name="para5">'Sheet1'!$F$9</definedName>
    <definedName name="para6">'Sheet1'!$F$10</definedName>
    <definedName name="parb0">'Sheet1'!$G$4</definedName>
    <definedName name="parb1">'Sheet1'!$G$5</definedName>
    <definedName name="parb2">'Sheet1'!$G$6</definedName>
    <definedName name="parb3">'Sheet1'!$G$7</definedName>
    <definedName name="parb4">'Sheet1'!$G$8</definedName>
    <definedName name="parb5">'Sheet1'!$G$9</definedName>
    <definedName name="parb6">'Sheet1'!$G$10</definedName>
    <definedName name="pathin">'Sheet1'!$B$21</definedName>
    <definedName name="pathout">'Sheet1'!$B$22</definedName>
    <definedName name="pi">'Sheet1'!$B$16</definedName>
    <definedName name="rad">'Sheet1'!$B$17</definedName>
    <definedName name="ratio">'Sheet1'!$E$13</definedName>
    <definedName name="ratio1">'Sheet1'!$E$14</definedName>
    <definedName name="rhoBi">'Sheet1'!$B$15</definedName>
    <definedName name="s_in">'Sheet1'!$B$10</definedName>
    <definedName name="s_out">'Sheet1'!$B$29</definedName>
    <definedName name="screen">'Sheet1'!$E$8</definedName>
    <definedName name="sigma">'Sheet1'!$B$32</definedName>
    <definedName name="sigma_lab">'Sheet1'!$B$34</definedName>
    <definedName name="sigmaCM">'Sheet1'!$B$32</definedName>
    <definedName name="sin_angle">'Sheet1'!$E$20</definedName>
    <definedName name="temp1">'Sheet1'!$E$22</definedName>
    <definedName name="temp2">'Sheet1'!$E$24</definedName>
    <definedName name="Temp3">'Sheet1'!$E$29</definedName>
    <definedName name="temp4">'Sheet1'!$E$32</definedName>
    <definedName name="thick">'Sheet1'!$B$25</definedName>
    <definedName name="tilt">'Sheet1'!$B$19</definedName>
    <definedName name="zproj">'Sheet1'!$E$11</definedName>
    <definedName name="ztarget">'Sheet1'!$E$12</definedName>
  </definedNames>
  <calcPr fullCalcOnLoad="1"/>
</workbook>
</file>

<file path=xl/sharedStrings.xml><?xml version="1.0" encoding="utf-8"?>
<sst xmlns="http://schemas.openxmlformats.org/spreadsheetml/2006/main" count="92" uniqueCount="87">
  <si>
    <t>Mass(He-4)</t>
  </si>
  <si>
    <t>Tilt angle (deg.)</t>
  </si>
  <si>
    <t>Detector angle (deg.)</t>
  </si>
  <si>
    <t>Path in</t>
  </si>
  <si>
    <t>Path out</t>
  </si>
  <si>
    <t>Avogadro</t>
  </si>
  <si>
    <t>Mass(Si)</t>
  </si>
  <si>
    <t>Z1</t>
  </si>
  <si>
    <t>Z2</t>
  </si>
  <si>
    <t>constant1</t>
  </si>
  <si>
    <t>constant2</t>
  </si>
  <si>
    <t>sin(angle)</t>
  </si>
  <si>
    <t>cos(angle)</t>
  </si>
  <si>
    <t>constant3</t>
  </si>
  <si>
    <t xml:space="preserve"> </t>
  </si>
  <si>
    <t>Solid angle factor</t>
  </si>
  <si>
    <t>E(keV)-Si edge</t>
  </si>
  <si>
    <t>Ratio(Si/He)</t>
  </si>
  <si>
    <t>Ratio(Bi/He)</t>
  </si>
  <si>
    <t>Solid angle (msr)</t>
  </si>
  <si>
    <t>E^0</t>
  </si>
  <si>
    <t>E^1</t>
  </si>
  <si>
    <t>E^2</t>
  </si>
  <si>
    <t>E^3</t>
  </si>
  <si>
    <t>E^4</t>
  </si>
  <si>
    <t>E^5</t>
  </si>
  <si>
    <t>E^6</t>
  </si>
  <si>
    <t>E&lt;450 keV</t>
  </si>
  <si>
    <t>E&gt;450 keV</t>
  </si>
  <si>
    <t>values for Si</t>
  </si>
  <si>
    <t>Par1 (Ziegler)</t>
  </si>
  <si>
    <t>Par2  (Ziegler)</t>
  </si>
  <si>
    <t>Par3  (Ziegler)</t>
  </si>
  <si>
    <t>Par4  (Ziegler)</t>
  </si>
  <si>
    <t>Par5  (Ziegler)</t>
  </si>
  <si>
    <t>Konac et al.</t>
  </si>
  <si>
    <t>depth (nm)</t>
  </si>
  <si>
    <t xml:space="preserve">            P0 (keV)</t>
  </si>
  <si>
    <t>density (Si)</t>
  </si>
  <si>
    <t>Si channel #</t>
  </si>
  <si>
    <t>He-4 stopping</t>
  </si>
  <si>
    <t>kinematic factor (Si)</t>
  </si>
  <si>
    <r>
      <t>E</t>
    </r>
    <r>
      <rPr>
        <b/>
        <vertAlign val="subscript"/>
        <sz val="12"/>
        <color indexed="17"/>
        <rFont val="Arial"/>
        <family val="2"/>
      </rPr>
      <t>0</t>
    </r>
    <r>
      <rPr>
        <b/>
        <sz val="12"/>
        <color indexed="17"/>
        <rFont val="Arial"/>
        <family val="2"/>
      </rPr>
      <t xml:space="preserve"> (MeV)</t>
    </r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</si>
  <si>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(keV)</t>
    </r>
  </si>
  <si>
    <r>
      <t>thick (at./cm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</si>
  <si>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/E</t>
    </r>
    <r>
      <rPr>
        <vertAlign val="subscript"/>
        <sz val="10"/>
        <rFont val="Arial"/>
        <family val="2"/>
      </rPr>
      <t>0</t>
    </r>
  </si>
  <si>
    <t>P1 (keV/chann)</t>
  </si>
  <si>
    <t>pi</t>
  </si>
  <si>
    <t>S_e(in)</t>
  </si>
  <si>
    <t>S_e(out)</t>
  </si>
  <si>
    <t>delta E(in) [keV]</t>
  </si>
  <si>
    <t>E(scattered) [keV]</t>
  </si>
  <si>
    <t>E(scattered) [MeV]</t>
  </si>
  <si>
    <t>delta E(out) [keV]</t>
  </si>
  <si>
    <t>Sigma(CMS) [b/sr]</t>
  </si>
  <si>
    <t>degrees--&gt;radians</t>
  </si>
  <si>
    <t>E[keV]</t>
  </si>
  <si>
    <t>dE/dx</t>
  </si>
  <si>
    <t>IBM geometry!</t>
  </si>
  <si>
    <t>CM angle (ibm)</t>
  </si>
  <si>
    <t>CM angle (cor)</t>
  </si>
  <si>
    <t>E(CM,MeV,ibm)</t>
  </si>
  <si>
    <t>E(CM,MeV,cor)</t>
  </si>
  <si>
    <t>temp4</t>
  </si>
  <si>
    <t>F(screen,ibm)</t>
  </si>
  <si>
    <t>F(screen,cor)</t>
  </si>
  <si>
    <t>temp3</t>
  </si>
  <si>
    <t>temp2</t>
  </si>
  <si>
    <t>temp1</t>
  </si>
  <si>
    <t>for green entries</t>
  </si>
  <si>
    <r>
      <t>Charge state (He</t>
    </r>
    <r>
      <rPr>
        <b/>
        <vertAlign val="superscript"/>
        <sz val="12"/>
        <color indexed="17"/>
        <rFont val="Arial"/>
        <family val="2"/>
      </rPr>
      <t>+</t>
    </r>
    <r>
      <rPr>
        <b/>
        <sz val="12"/>
        <color indexed="17"/>
        <rFont val="Arial"/>
        <family val="2"/>
      </rPr>
      <t xml:space="preserve"> or He</t>
    </r>
    <r>
      <rPr>
        <b/>
        <vertAlign val="superscript"/>
        <sz val="12"/>
        <color indexed="17"/>
        <rFont val="Arial"/>
        <family val="2"/>
      </rPr>
      <t>++</t>
    </r>
    <r>
      <rPr>
        <b/>
        <sz val="12"/>
        <color indexed="17"/>
        <rFont val="Arial"/>
        <family val="2"/>
      </rPr>
      <t>)</t>
    </r>
  </si>
  <si>
    <r>
      <t>Q (</t>
    </r>
    <r>
      <rPr>
        <b/>
        <sz val="12"/>
        <color indexed="17"/>
        <rFont val="Times New Roman"/>
        <family val="1"/>
      </rPr>
      <t>μ</t>
    </r>
    <r>
      <rPr>
        <b/>
        <sz val="12"/>
        <color indexed="17"/>
        <rFont val="Arial"/>
        <family val="2"/>
      </rPr>
      <t>C)</t>
    </r>
  </si>
  <si>
    <t>Tandetron (CORNELL) geometry!</t>
  </si>
  <si>
    <t xml:space="preserve">  only !!!</t>
  </si>
  <si>
    <t>Enter appropriate values</t>
  </si>
  <si>
    <r>
      <t>kinematic factor (</t>
    </r>
    <r>
      <rPr>
        <b/>
        <sz val="10"/>
        <color indexed="10"/>
        <rFont val="Arial"/>
        <family val="2"/>
      </rPr>
      <t>Sb</t>
    </r>
    <r>
      <rPr>
        <sz val="10"/>
        <rFont val="Arial"/>
        <family val="0"/>
      </rPr>
      <t>)</t>
    </r>
  </si>
  <si>
    <r>
      <t>Mass(</t>
    </r>
    <r>
      <rPr>
        <b/>
        <sz val="10"/>
        <color indexed="10"/>
        <rFont val="Arial"/>
        <family val="2"/>
      </rPr>
      <t>Sb</t>
    </r>
    <r>
      <rPr>
        <sz val="10"/>
        <rFont val="Arial"/>
        <family val="0"/>
      </rPr>
      <t>)</t>
    </r>
  </si>
  <si>
    <r>
      <t>density (</t>
    </r>
    <r>
      <rPr>
        <b/>
        <sz val="10"/>
        <color indexed="10"/>
        <rFont val="Arial"/>
        <family val="2"/>
      </rPr>
      <t>Bi</t>
    </r>
    <r>
      <rPr>
        <sz val="10"/>
        <rFont val="Arial"/>
        <family val="0"/>
      </rPr>
      <t>)</t>
    </r>
  </si>
  <si>
    <r>
      <t>E(final,keV)-</t>
    </r>
    <r>
      <rPr>
        <b/>
        <sz val="10"/>
        <color indexed="10"/>
        <rFont val="Arial"/>
        <family val="2"/>
      </rPr>
      <t>Sb</t>
    </r>
  </si>
  <si>
    <r>
      <t>Sigma-</t>
    </r>
    <r>
      <rPr>
        <b/>
        <sz val="10"/>
        <color indexed="10"/>
        <rFont val="Arial"/>
        <family val="2"/>
      </rPr>
      <t>Sb</t>
    </r>
    <r>
      <rPr>
        <sz val="10"/>
        <rFont val="Arial"/>
        <family val="2"/>
      </rPr>
      <t xml:space="preserve"> (Lab) [b/sr]</t>
    </r>
  </si>
  <si>
    <r>
      <t>Sb</t>
    </r>
    <r>
      <rPr>
        <b/>
        <sz val="12"/>
        <color indexed="17"/>
        <rFont val="Arial"/>
        <family val="2"/>
      </rPr>
      <t xml:space="preserve"> areal density (1E15/cm^2)</t>
    </r>
  </si>
  <si>
    <r>
      <t>Sb</t>
    </r>
    <r>
      <rPr>
        <b/>
        <sz val="12"/>
        <color indexed="17"/>
        <rFont val="Arial"/>
        <family val="2"/>
      </rPr>
      <t xml:space="preserve"> channel #</t>
    </r>
  </si>
  <si>
    <r>
      <t>Q (particle-</t>
    </r>
    <r>
      <rPr>
        <b/>
        <sz val="12"/>
        <color indexed="17"/>
        <rFont val="Times New Roman"/>
        <family val="1"/>
      </rPr>
      <t>μ</t>
    </r>
    <r>
      <rPr>
        <b/>
        <sz val="12"/>
        <color indexed="17"/>
        <rFont val="Arial"/>
        <family val="2"/>
      </rPr>
      <t>C)</t>
    </r>
  </si>
  <si>
    <r>
      <t>Sb</t>
    </r>
    <r>
      <rPr>
        <b/>
        <sz val="12"/>
        <color indexed="17"/>
        <rFont val="Arial"/>
        <family val="2"/>
      </rPr>
      <t xml:space="preserve"> counts</t>
    </r>
  </si>
  <si>
    <t>(rev. 13/7/10)</t>
  </si>
  <si>
    <t>(for QUARK)</t>
  </si>
  <si>
    <r>
      <t>Sb</t>
    </r>
    <r>
      <rPr>
        <sz val="10"/>
        <rFont val="Arial"/>
        <family val="0"/>
      </rPr>
      <t xml:space="preserve"> thickness [Å]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</si>
</sst>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E+00"/>
    <numFmt numFmtId="173" formatCode="0.000"/>
    <numFmt numFmtId="174" formatCode="0.00000"/>
    <numFmt numFmtId="175" formatCode="0.0000"/>
    <numFmt numFmtId="176" formatCode="0.0"/>
    <numFmt numFmtId="177" formatCode="0.000000"/>
    <numFmt numFmtId="178" formatCode="0.000000E+00"/>
    <numFmt numFmtId="179" formatCode="0.0000000E+00"/>
  </numFmts>
  <fonts count="52">
    <font>
      <sz val="10"/>
      <name val="Arial"/>
      <family val="0"/>
    </font>
    <font>
      <b/>
      <i/>
      <sz val="12"/>
      <color indexed="10"/>
      <name val="Arial"/>
      <family val="2"/>
    </font>
    <font>
      <b/>
      <sz val="12"/>
      <color indexed="17"/>
      <name val="Arial"/>
      <family val="2"/>
    </font>
    <font>
      <b/>
      <i/>
      <sz val="12"/>
      <color indexed="61"/>
      <name val="Arial"/>
      <family val="2"/>
    </font>
    <font>
      <b/>
      <sz val="10"/>
      <name val="Arial"/>
      <family val="2"/>
    </font>
    <font>
      <b/>
      <i/>
      <sz val="10"/>
      <color indexed="61"/>
      <name val="Arial"/>
      <family val="2"/>
    </font>
    <font>
      <b/>
      <vertAlign val="subscript"/>
      <sz val="12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6"/>
      <color indexed="52"/>
      <name val="Arial"/>
      <family val="2"/>
    </font>
    <font>
      <b/>
      <vertAlign val="superscript"/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6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4" fontId="0" fillId="0" borderId="0" xfId="0" applyNumberFormat="1" applyAlignment="1">
      <alignment/>
    </xf>
    <xf numFmtId="17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5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5" fontId="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9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2" fontId="2" fillId="33" borderId="0" xfId="0" applyNumberFormat="1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He-4 in Si:  dE/dx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"/>
          <c:y val="0.11425"/>
          <c:w val="0.93775"/>
          <c:h val="0.81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Sheet1!$G$12:$G$64</c:f>
              <c:numCache>
                <c:ptCount val="5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</c:numCache>
            </c:numRef>
          </c:xVal>
          <c:yVal>
            <c:numRef>
              <c:f>Sheet1!$H$12:$H$64</c:f>
              <c:numCache>
                <c:ptCount val="53"/>
                <c:pt idx="0">
                  <c:v>0.0195</c:v>
                </c:pt>
                <c:pt idx="1">
                  <c:v>26.914083328125002</c:v>
                </c:pt>
                <c:pt idx="2">
                  <c:v>41.32063299999999</c:v>
                </c:pt>
                <c:pt idx="3">
                  <c:v>50.541146203125</c:v>
                </c:pt>
                <c:pt idx="4">
                  <c:v>57.14761199999997</c:v>
                </c:pt>
                <c:pt idx="5">
                  <c:v>61.694001953124996</c:v>
                </c:pt>
                <c:pt idx="6">
                  <c:v>64.42625700000009</c:v>
                </c:pt>
                <c:pt idx="7">
                  <c:v>65.99027057812515</c:v>
                </c:pt>
                <c:pt idx="8">
                  <c:v>67.1378679999998</c:v>
                </c:pt>
                <c:pt idx="9">
                  <c:v>67.43078207812448</c:v>
                </c:pt>
                <c:pt idx="10">
                  <c:v>67.37925937499999</c:v>
                </c:pt>
                <c:pt idx="11">
                  <c:v>67.05718063325938</c:v>
                </c:pt>
                <c:pt idx="12">
                  <c:v>66.56564162560001</c:v>
                </c:pt>
                <c:pt idx="13">
                  <c:v>65.94147018645938</c:v>
                </c:pt>
                <c:pt idx="14">
                  <c:v>65.21617611739998</c:v>
                </c:pt>
                <c:pt idx="15">
                  <c:v>64.41645639648436</c:v>
                </c:pt>
                <c:pt idx="16">
                  <c:v>63.56467645439998</c:v>
                </c:pt>
                <c:pt idx="17">
                  <c:v>62.67932751733437</c:v>
                </c:pt>
                <c:pt idx="18">
                  <c:v>61.775460016600015</c:v>
                </c:pt>
                <c:pt idx="19">
                  <c:v>60.86509306500936</c:v>
                </c:pt>
                <c:pt idx="20">
                  <c:v>59.95759999999997</c:v>
                </c:pt>
                <c:pt idx="21">
                  <c:v>59.06006999350936</c:v>
                </c:pt>
                <c:pt idx="22">
                  <c:v>58.177645728600005</c:v>
                </c:pt>
                <c:pt idx="23">
                  <c:v>57.31383714283434</c:v>
                </c:pt>
                <c:pt idx="24">
                  <c:v>56.47081123839997</c:v>
                </c:pt>
                <c:pt idx="25">
                  <c:v>55.64965795898432</c:v>
                </c:pt>
                <c:pt idx="26">
                  <c:v>54.850632133399884</c:v>
                </c:pt>
                <c:pt idx="27">
                  <c:v>54.07337148595939</c:v>
                </c:pt>
                <c:pt idx="28">
                  <c:v>53.31709071359997</c:v>
                </c:pt>
                <c:pt idx="29">
                  <c:v>52.580751629759334</c:v>
                </c:pt>
                <c:pt idx="30">
                  <c:v>51.86320937500001</c:v>
                </c:pt>
                <c:pt idx="31">
                  <c:v>51.16333469438434</c:v>
                </c:pt>
                <c:pt idx="32">
                  <c:v>50.4801122815999</c:v>
                </c:pt>
                <c:pt idx="33">
                  <c:v>49.81271518983439</c:v>
                </c:pt>
                <c:pt idx="34">
                  <c:v>49.16055530940001</c:v>
                </c:pt>
                <c:pt idx="35">
                  <c:v>48.52330991210923</c:v>
                </c:pt>
                <c:pt idx="36">
                  <c:v>47.90092426239981</c:v>
                </c:pt>
                <c:pt idx="37">
                  <c:v>47.29359029520937</c:v>
                </c:pt>
                <c:pt idx="38">
                  <c:v>46.70170136059991</c:v>
                </c:pt>
                <c:pt idx="39">
                  <c:v>46.12578303513426</c:v>
                </c:pt>
                <c:pt idx="40">
                  <c:v>45.566399999999874</c:v>
                </c:pt>
                <c:pt idx="41">
                  <c:v>45.024038985883976</c:v>
                </c:pt>
                <c:pt idx="42">
                  <c:v>44.498967784599984</c:v>
                </c:pt>
                <c:pt idx="43">
                  <c:v>43.99107032745928</c:v>
                </c:pt>
                <c:pt idx="44">
                  <c:v>43.499657830400025</c:v>
                </c:pt>
                <c:pt idx="45">
                  <c:v>43.02325600585954</c:v>
                </c:pt>
                <c:pt idx="46">
                  <c:v>42.5593683414001</c:v>
                </c:pt>
                <c:pt idx="47">
                  <c:v>42.10421544508472</c:v>
                </c:pt>
                <c:pt idx="48">
                  <c:v>41.652450457599</c:v>
                </c:pt>
                <c:pt idx="49">
                  <c:v>41.19685053113403</c:v>
                </c:pt>
                <c:pt idx="50">
                  <c:v>40.727984375000005</c:v>
                </c:pt>
              </c:numCache>
            </c:numRef>
          </c:yVal>
          <c:smooth val="0"/>
        </c:ser>
        <c:axId val="46266452"/>
        <c:axId val="13744885"/>
      </c:scatterChart>
      <c:val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Energy (MeV)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crossBetween val="midCat"/>
        <c:dispUnits/>
      </c:val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dE/dx (eV cm^2 / 10^15 at.)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22">
      <selection activeCell="C37" sqref="C37"/>
    </sheetView>
  </sheetViews>
  <sheetFormatPr defaultColWidth="9.140625" defaultRowHeight="12.75"/>
  <cols>
    <col min="1" max="1" width="31.8515625" style="0" customWidth="1"/>
    <col min="2" max="2" width="26.00390625" style="0" customWidth="1"/>
    <col min="3" max="3" width="30.7109375" style="0" customWidth="1"/>
    <col min="4" max="4" width="18.140625" style="0" customWidth="1"/>
    <col min="5" max="5" width="15.00390625" style="0" customWidth="1"/>
    <col min="6" max="6" width="11.8515625" style="0" customWidth="1"/>
    <col min="7" max="7" width="13.28125" style="8" customWidth="1"/>
    <col min="8" max="8" width="12.00390625" style="0" customWidth="1"/>
  </cols>
  <sheetData>
    <row r="1" spans="2:8" ht="39" customHeight="1">
      <c r="B1" s="30" t="s">
        <v>58</v>
      </c>
      <c r="C1" s="37" t="s">
        <v>72</v>
      </c>
      <c r="F1" s="13" t="s">
        <v>35</v>
      </c>
      <c r="G1" s="13" t="s">
        <v>40</v>
      </c>
      <c r="H1" s="14" t="s">
        <v>29</v>
      </c>
    </row>
    <row r="2" spans="1:8" ht="39" customHeight="1">
      <c r="A2" s="31" t="s">
        <v>84</v>
      </c>
      <c r="C2" s="24"/>
      <c r="F2" s="13"/>
      <c r="G2" s="13"/>
      <c r="H2" s="14"/>
    </row>
    <row r="3" spans="1:7" ht="15">
      <c r="A3" s="22" t="s">
        <v>74</v>
      </c>
      <c r="B3" s="22" t="s">
        <v>69</v>
      </c>
      <c r="C3" s="23" t="s">
        <v>73</v>
      </c>
      <c r="F3" s="9" t="s">
        <v>28</v>
      </c>
      <c r="G3" s="9" t="s">
        <v>27</v>
      </c>
    </row>
    <row r="4" spans="1:8" ht="18.75">
      <c r="A4" s="5" t="s">
        <v>42</v>
      </c>
      <c r="B4" s="33">
        <v>1.5</v>
      </c>
      <c r="C4" s="33">
        <v>1.5</v>
      </c>
      <c r="D4" s="8" t="s">
        <v>43</v>
      </c>
      <c r="E4" s="8">
        <f>1000*e0</f>
        <v>1500</v>
      </c>
      <c r="F4" s="8">
        <v>48.244</v>
      </c>
      <c r="G4" s="8">
        <v>0.0195</v>
      </c>
      <c r="H4" s="8" t="s">
        <v>20</v>
      </c>
    </row>
    <row r="5" spans="1:8" ht="12.75">
      <c r="A5" t="s">
        <v>30</v>
      </c>
      <c r="B5" s="8">
        <v>2.1</v>
      </c>
      <c r="D5" s="8" t="s">
        <v>9</v>
      </c>
      <c r="E5" s="8">
        <f>2/3</f>
        <v>0.6666666666666666</v>
      </c>
      <c r="F5" s="8">
        <v>110.01</v>
      </c>
      <c r="G5" s="8">
        <v>749.29</v>
      </c>
      <c r="H5" s="8" t="s">
        <v>21</v>
      </c>
    </row>
    <row r="6" spans="1:8" ht="12.75">
      <c r="A6" t="s">
        <v>31</v>
      </c>
      <c r="B6" s="8">
        <v>0.65</v>
      </c>
      <c r="D6" s="8" t="s">
        <v>10</v>
      </c>
      <c r="E6" s="21">
        <v>4.873E-05</v>
      </c>
      <c r="F6" s="8">
        <v>-218.58</v>
      </c>
      <c r="G6" s="8">
        <v>-5429.7</v>
      </c>
      <c r="H6" s="8" t="s">
        <v>22</v>
      </c>
    </row>
    <row r="7" spans="1:8" ht="12.75">
      <c r="A7" t="s">
        <v>32</v>
      </c>
      <c r="B7" s="8">
        <v>49340</v>
      </c>
      <c r="D7" s="8" t="s">
        <v>61</v>
      </c>
      <c r="E7" s="19">
        <f>mass2*(e0-0.001*delta_in)/(mass1+mass2)</f>
        <v>1.445605222941375</v>
      </c>
      <c r="F7" s="8">
        <v>189.25</v>
      </c>
      <c r="G7" s="8">
        <v>28029</v>
      </c>
      <c r="H7" s="8" t="s">
        <v>23</v>
      </c>
    </row>
    <row r="8" spans="1:8" ht="12.75">
      <c r="A8" t="s">
        <v>33</v>
      </c>
      <c r="B8" s="8">
        <v>1788</v>
      </c>
      <c r="D8" s="8" t="s">
        <v>64</v>
      </c>
      <c r="E8" s="16">
        <f>1/(1+constant2*zproj*ztarget*SQRT(zproj^constant1+ztarget^constant1)/ecm)</f>
        <v>0.9867123545637901</v>
      </c>
      <c r="F8" s="8">
        <v>-88.289</v>
      </c>
      <c r="G8" s="8">
        <v>-86620</v>
      </c>
      <c r="H8" s="8" t="s">
        <v>24</v>
      </c>
    </row>
    <row r="9" spans="1:8" ht="12.75">
      <c r="A9" t="s">
        <v>34</v>
      </c>
      <c r="B9" s="8">
        <v>0.004133</v>
      </c>
      <c r="D9" s="8" t="s">
        <v>62</v>
      </c>
      <c r="E9" s="19">
        <f>mass2*(en0-0.001*C26)/(mass1+mass2)</f>
        <v>1.4464962875514005</v>
      </c>
      <c r="F9" s="8">
        <v>21.45</v>
      </c>
      <c r="G9" s="8">
        <v>139120</v>
      </c>
      <c r="H9" s="8" t="s">
        <v>25</v>
      </c>
    </row>
    <row r="10" spans="1:8" ht="12.75">
      <c r="A10" t="s">
        <v>48</v>
      </c>
      <c r="B10" s="15">
        <f>IF(e0&gt;0.45,para0+para1*e0+para2*e0^2+para3*e0^3+para4*e0^4+para5*e0^5+para6*e0^6,parb0+parb1*e0+parb2*e0^2+parb3*e0^3+parb4*e0^4+parb5*e0^5+parb6*e0^6)</f>
        <v>51.863209374999954</v>
      </c>
      <c r="C10" s="15">
        <f>IF(en0&gt;0.45,para0+para1*en0+para2*en0^2+para3*en0^3+para4*en0^4+para5*en0^5+para6*en0^6,parb0+parb1*en0+parb2*en0^2+parb3*en0^3+parb4*en0^4+parb5*en0^5+parb6*en0^6)</f>
        <v>51.863209374999954</v>
      </c>
      <c r="D10" s="8" t="s">
        <v>65</v>
      </c>
      <c r="E10" s="16">
        <f>1/(1+constant2*zproj*ztarget*SQRT(zproj^constant1+ztarget^constant1)/ecm_cor)</f>
        <v>0.9867204312651308</v>
      </c>
      <c r="F10" s="8">
        <v>-2.1274</v>
      </c>
      <c r="G10" s="8">
        <v>-89067</v>
      </c>
      <c r="H10" s="8" t="s">
        <v>26</v>
      </c>
    </row>
    <row r="11" spans="1:8" ht="15">
      <c r="A11" t="s">
        <v>0</v>
      </c>
      <c r="B11" s="8">
        <v>4.0026031</v>
      </c>
      <c r="D11" s="8" t="s">
        <v>7</v>
      </c>
      <c r="E11" s="8">
        <v>2</v>
      </c>
      <c r="G11" s="22" t="s">
        <v>56</v>
      </c>
      <c r="H11" s="22" t="s">
        <v>57</v>
      </c>
    </row>
    <row r="12" spans="1:8" ht="12.75">
      <c r="A12" t="s">
        <v>76</v>
      </c>
      <c r="B12" s="27">
        <v>121.75</v>
      </c>
      <c r="D12" s="8" t="s">
        <v>8</v>
      </c>
      <c r="E12" s="27">
        <v>51</v>
      </c>
      <c r="G12" s="20">
        <v>0</v>
      </c>
      <c r="H12" s="20">
        <f>IF(G12&gt;0.45,para0+para1*G12+para2*G12^2+para3*G12^3+para4*G12^4+para5*G12^5+para6*G12^6,parb0+parb1*G12+parb2*G12^2+parb3*G12^3+parb4*G12^4+parb5*G12^5+parb6*G12^6)</f>
        <v>0.0195</v>
      </c>
    </row>
    <row r="13" spans="1:8" ht="12.75">
      <c r="A13" t="s">
        <v>6</v>
      </c>
      <c r="B13" s="8">
        <v>28.0855</v>
      </c>
      <c r="D13" s="8" t="s">
        <v>18</v>
      </c>
      <c r="E13" s="8">
        <f>mass2/mass1</f>
        <v>30.417704918081935</v>
      </c>
      <c r="G13" s="20">
        <v>0.05</v>
      </c>
      <c r="H13" s="20">
        <f>IF(G13&gt;0.45,para0+para1*G13+para2*G13^2+para3*G13^3+para4*G13^4+para5*G13^5+para6*G13^6,parb0+parb1*G13+parb2*G13^2+parb3*G13^3+parb4*G13^4+parb5*G13^5+parb6*G13^6)</f>
        <v>26.914083328125002</v>
      </c>
    </row>
    <row r="14" spans="1:8" ht="12.75">
      <c r="A14" t="s">
        <v>38</v>
      </c>
      <c r="B14" s="8">
        <v>2.326</v>
      </c>
      <c r="D14" s="8" t="s">
        <v>17</v>
      </c>
      <c r="E14" s="8">
        <f>mass3/mass1</f>
        <v>7.016808636359673</v>
      </c>
      <c r="G14" s="20">
        <v>0.1</v>
      </c>
      <c r="H14" s="20">
        <f aca="true" t="shared" si="0" ref="H14:H62">IF(G14&gt;0.45,para0+para1*G14+para2*G14^2+para3*G14^3+para4*G14^4+para5*G14^5+para6*G14^6,parb0+parb1*G14+parb2*G14^2+parb3*G14^3+parb4*G14^4+parb5*G14^5+parb6*G14^6)</f>
        <v>41.32063299999999</v>
      </c>
    </row>
    <row r="15" spans="1:8" ht="12.75">
      <c r="A15" t="s">
        <v>77</v>
      </c>
      <c r="B15" s="27">
        <v>6.618</v>
      </c>
      <c r="D15" s="8"/>
      <c r="E15" s="8"/>
      <c r="G15" s="20">
        <v>0.15</v>
      </c>
      <c r="H15" s="20">
        <f t="shared" si="0"/>
        <v>50.541146203125</v>
      </c>
    </row>
    <row r="16" spans="1:8" ht="12.75">
      <c r="A16" t="s">
        <v>47</v>
      </c>
      <c r="B16" s="8">
        <f>4*ATAN(1)</f>
        <v>3.141592653589793</v>
      </c>
      <c r="D16" t="s">
        <v>14</v>
      </c>
      <c r="G16" s="20">
        <f>G15+0.05</f>
        <v>0.2</v>
      </c>
      <c r="H16" s="20">
        <f t="shared" si="0"/>
        <v>57.14761199999997</v>
      </c>
    </row>
    <row r="17" spans="1:8" ht="12.75">
      <c r="A17" t="s">
        <v>55</v>
      </c>
      <c r="B17" s="8">
        <f>pi/180</f>
        <v>0.017453292519943295</v>
      </c>
      <c r="G17" s="20">
        <f aca="true" t="shared" si="1" ref="G17:G40">G16+0.05</f>
        <v>0.25</v>
      </c>
      <c r="H17" s="20">
        <f t="shared" si="0"/>
        <v>61.694001953124996</v>
      </c>
    </row>
    <row r="18" spans="1:8" ht="12.75">
      <c r="A18" t="s">
        <v>5</v>
      </c>
      <c r="B18" s="29">
        <v>6.0221367E+23</v>
      </c>
      <c r="G18" s="20">
        <f t="shared" si="1"/>
        <v>0.3</v>
      </c>
      <c r="H18" s="20">
        <f t="shared" si="0"/>
        <v>64.42625700000009</v>
      </c>
    </row>
    <row r="19" spans="1:8" ht="15.75">
      <c r="A19" s="5" t="s">
        <v>1</v>
      </c>
      <c r="B19" s="34">
        <v>30</v>
      </c>
      <c r="C19" s="34">
        <v>0</v>
      </c>
      <c r="G19" s="20">
        <f t="shared" si="1"/>
        <v>0.35</v>
      </c>
      <c r="H19" s="20">
        <f t="shared" si="0"/>
        <v>65.99027057812515</v>
      </c>
    </row>
    <row r="20" spans="1:8" ht="15.75">
      <c r="A20" s="5" t="s">
        <v>2</v>
      </c>
      <c r="B20" s="34">
        <v>170</v>
      </c>
      <c r="C20" s="34">
        <v>170</v>
      </c>
      <c r="D20" s="8" t="s">
        <v>11</v>
      </c>
      <c r="E20" s="15">
        <f>SIN(rad*detector)</f>
        <v>0.17364817766693028</v>
      </c>
      <c r="G20" s="20">
        <f t="shared" si="1"/>
        <v>0.39999999999999997</v>
      </c>
      <c r="H20" s="20">
        <f t="shared" si="0"/>
        <v>67.1378679999998</v>
      </c>
    </row>
    <row r="21" spans="1:8" ht="12.75">
      <c r="A21" t="s">
        <v>3</v>
      </c>
      <c r="B21" s="17">
        <f>1/COS(rad*tilt)</f>
        <v>1.1547005383792515</v>
      </c>
      <c r="C21" s="15">
        <f>1/COS(rad*C19)</f>
        <v>1</v>
      </c>
      <c r="D21" s="8" t="s">
        <v>12</v>
      </c>
      <c r="E21" s="15">
        <f>COS(rad*detector)</f>
        <v>-0.984807753012208</v>
      </c>
      <c r="G21" s="20">
        <f t="shared" si="1"/>
        <v>0.44999999999999996</v>
      </c>
      <c r="H21" s="20">
        <f t="shared" si="0"/>
        <v>67.43078207812448</v>
      </c>
    </row>
    <row r="22" spans="1:8" ht="12.75">
      <c r="A22" t="s">
        <v>4</v>
      </c>
      <c r="B22" s="17">
        <f>1/COS(rad*(180-detector-tilt))</f>
        <v>1.064177772475912</v>
      </c>
      <c r="C22" s="15">
        <f>1/COS(rad*(180-C20))*C21</f>
        <v>1.0154266118857451</v>
      </c>
      <c r="D22" s="8" t="s">
        <v>68</v>
      </c>
      <c r="E22" s="17">
        <f>SQRT(ratio^2-sin_angle^2)</f>
        <v>30.417209253873025</v>
      </c>
      <c r="G22" s="20">
        <f t="shared" si="1"/>
        <v>0.49999999999999994</v>
      </c>
      <c r="H22" s="20">
        <f t="shared" si="0"/>
        <v>67.37925937499999</v>
      </c>
    </row>
    <row r="23" spans="1:8" ht="12.75">
      <c r="A23" t="s">
        <v>75</v>
      </c>
      <c r="B23" s="16">
        <f>mass1^2/(mass1+mass2)^2*(cos_angle+SQRT(ratio^2-sin_angle^2))^2</f>
        <v>0.8776118642834247</v>
      </c>
      <c r="C23" s="16">
        <f>mass1^2/(mass1+mass2)^2*(COS(rad*C20)+SQRT(ratio^2-(SIN(rad*C20))^2))^2</f>
        <v>0.8776118642834247</v>
      </c>
      <c r="D23" s="8" t="s">
        <v>13</v>
      </c>
      <c r="E23" s="18">
        <v>0.00129593</v>
      </c>
      <c r="G23" s="20">
        <f t="shared" si="1"/>
        <v>0.5499999999999999</v>
      </c>
      <c r="H23" s="20">
        <f t="shared" si="0"/>
        <v>67.05718063325938</v>
      </c>
    </row>
    <row r="24" spans="1:8" ht="12.75">
      <c r="A24" t="s">
        <v>36</v>
      </c>
      <c r="B24" s="27">
        <v>23</v>
      </c>
      <c r="D24" s="8" t="s">
        <v>67</v>
      </c>
      <c r="E24" s="8">
        <f>constant3*zproj*zproj*ztarget*ztarget</f>
        <v>13.482855720000002</v>
      </c>
      <c r="G24" s="20">
        <f t="shared" si="1"/>
        <v>0.6</v>
      </c>
      <c r="H24" s="20">
        <f t="shared" si="0"/>
        <v>66.56564162560001</v>
      </c>
    </row>
    <row r="25" spans="1:8" ht="14.25">
      <c r="A25" t="s">
        <v>44</v>
      </c>
      <c r="B25" s="18">
        <f>0.0000001*density*depth*avogadro/mass3</f>
        <v>1.1471124572345158E+17</v>
      </c>
      <c r="D25" s="8"/>
      <c r="E25" s="8"/>
      <c r="G25" s="20">
        <f t="shared" si="1"/>
        <v>0.65</v>
      </c>
      <c r="H25" s="20">
        <f t="shared" si="0"/>
        <v>65.94147018645938</v>
      </c>
    </row>
    <row r="26" spans="1:8" ht="12.75">
      <c r="A26" t="s">
        <v>50</v>
      </c>
      <c r="B26" s="17">
        <f>0.000000000000000001*s_in*thick*pathin</f>
        <v>6.869652239558632</v>
      </c>
      <c r="C26" s="17">
        <f>0.000000000000000001*C10*thick*C21</f>
        <v>5.949293354622438</v>
      </c>
      <c r="D26" s="8"/>
      <c r="E26" s="8"/>
      <c r="G26" s="20">
        <f t="shared" si="1"/>
        <v>0.7000000000000001</v>
      </c>
      <c r="H26" s="20">
        <f t="shared" si="0"/>
        <v>65.21617611739998</v>
      </c>
    </row>
    <row r="27" spans="1:8" ht="18" customHeight="1">
      <c r="A27" t="s">
        <v>51</v>
      </c>
      <c r="B27" s="17">
        <f>kinematic*(1000*e0-delta_in)</f>
        <v>1310.3889081161992</v>
      </c>
      <c r="C27" s="20">
        <f>kinematic*(1000*en0-C26)</f>
        <v>1311.196625993018</v>
      </c>
      <c r="D27" s="8" t="s">
        <v>45</v>
      </c>
      <c r="E27" s="19">
        <f>1-kinematic</f>
        <v>0.12238813571657525</v>
      </c>
      <c r="F27" s="1" t="s">
        <v>14</v>
      </c>
      <c r="G27" s="20">
        <f t="shared" si="1"/>
        <v>0.7500000000000001</v>
      </c>
      <c r="H27" s="20">
        <f t="shared" si="0"/>
        <v>64.41645639648436</v>
      </c>
    </row>
    <row r="28" spans="1:8" ht="12.75">
      <c r="A28" t="s">
        <v>52</v>
      </c>
      <c r="B28" s="19">
        <f>0.001*eout</f>
        <v>1.3103889081161992</v>
      </c>
      <c r="C28" s="19">
        <f>0.001*C27</f>
        <v>1.311196625993018</v>
      </c>
      <c r="D28" s="8"/>
      <c r="E28" s="19"/>
      <c r="F28" s="1"/>
      <c r="G28" s="20">
        <f t="shared" si="1"/>
        <v>0.8000000000000002</v>
      </c>
      <c r="H28" s="20">
        <f t="shared" si="0"/>
        <v>63.56467645439998</v>
      </c>
    </row>
    <row r="29" spans="1:8" ht="12.75">
      <c r="A29" t="s">
        <v>49</v>
      </c>
      <c r="B29" s="15">
        <f>IF(e00&gt;0.45,para0+para1*e00+para2*e00^2+para3*e00^3+para4*e00^4+para5*e00^5+para6*e00^6,parb0+parb1*e00+parb2*e00^2+parb3*e00^3+parb4*e00^4+parb5*e00^5+parb6*e00^6)</f>
        <v>54.68736392944116</v>
      </c>
      <c r="C29" s="15">
        <f>IF(en00&gt;0.45,para0+para1*en00+para2*en00^2+para3*en00^3+para4*en00^4+para5*en00^5+para6*en00^6,parb0+parb1*en00+parb2*en00^2+parb3*en00^3+parb4*en00^4+parb5*en00^5+parb6*en00^6)</f>
        <v>54.6747093977236</v>
      </c>
      <c r="D29" s="8" t="s">
        <v>66</v>
      </c>
      <c r="E29" s="20">
        <f>angleCM/2</f>
        <v>85.1635455694268</v>
      </c>
      <c r="G29" s="20">
        <f t="shared" si="1"/>
        <v>0.8500000000000002</v>
      </c>
      <c r="H29" s="20">
        <f t="shared" si="0"/>
        <v>62.67932751733437</v>
      </c>
    </row>
    <row r="30" spans="1:8" ht="12.75">
      <c r="A30" t="s">
        <v>53</v>
      </c>
      <c r="B30" s="17">
        <f>0.000000000000000001*s_out*thick*pathout</f>
        <v>6.675859214932788</v>
      </c>
      <c r="C30" s="17">
        <f>0.000000000000000001*C29*thick*C22</f>
        <v>6.368556711091238</v>
      </c>
      <c r="D30" s="8" t="s">
        <v>59</v>
      </c>
      <c r="E30" s="17">
        <f>detector+ASIN(mass1*SIN(rad*detector)/mass2)/rad</f>
        <v>170.3270911388536</v>
      </c>
      <c r="G30" s="20">
        <f t="shared" si="1"/>
        <v>0.9000000000000002</v>
      </c>
      <c r="H30" s="20">
        <f t="shared" si="0"/>
        <v>61.775460016600015</v>
      </c>
    </row>
    <row r="31" spans="1:8" ht="15" customHeight="1">
      <c r="A31" s="11" t="s">
        <v>78</v>
      </c>
      <c r="B31" s="26">
        <f>eout-delta_out</f>
        <v>1303.7130489012663</v>
      </c>
      <c r="C31" s="26">
        <f>C27-C30</f>
        <v>1304.8280692819267</v>
      </c>
      <c r="D31" s="8" t="s">
        <v>60</v>
      </c>
      <c r="E31" s="17">
        <f>detector+ASIN(mass1*SIN(rad*C20)/mass2)/rad</f>
        <v>170.3270911388536</v>
      </c>
      <c r="G31" s="20">
        <f t="shared" si="1"/>
        <v>0.9500000000000003</v>
      </c>
      <c r="H31" s="20">
        <f t="shared" si="0"/>
        <v>60.86509306500936</v>
      </c>
    </row>
    <row r="32" spans="1:8" ht="12.75">
      <c r="A32" t="s">
        <v>54</v>
      </c>
      <c r="B32" s="15">
        <f>constant3*zproj^2*ztarget^2/SIN(rad*Temp3)^4/ecm/ecm</f>
        <v>6.544536181867023</v>
      </c>
      <c r="C32" s="15">
        <f>constant3*zproj^2*ztarget^2/SIN(rad*temp4)^4/ecm_cor/ecm_cor</f>
        <v>6.5364755895924365</v>
      </c>
      <c r="D32" s="8" t="s">
        <v>63</v>
      </c>
      <c r="E32" s="20">
        <f>E31/2</f>
        <v>85.1635455694268</v>
      </c>
      <c r="G32" s="20">
        <f t="shared" si="1"/>
        <v>1.0000000000000002</v>
      </c>
      <c r="H32" s="20">
        <f t="shared" si="0"/>
        <v>59.95759999999997</v>
      </c>
    </row>
    <row r="33" spans="1:8" ht="12.75">
      <c r="A33" t="s">
        <v>15</v>
      </c>
      <c r="B33" s="16">
        <f>(mass1+mass2)^2*kinematic/mass1/mass2/SQRT(ratio^2-sin_angle^2)</f>
        <v>0.9362796638970772</v>
      </c>
      <c r="C33" s="16">
        <f>(mass1+mass2)^2*kinematic/mass1/mass2/SQRT(ratio^2-(SIN(rad*C20))^2)</f>
        <v>0.9362796638970772</v>
      </c>
      <c r="G33" s="20">
        <f t="shared" si="1"/>
        <v>1.0500000000000003</v>
      </c>
      <c r="H33" s="20">
        <f t="shared" si="0"/>
        <v>59.06006999350936</v>
      </c>
    </row>
    <row r="34" spans="1:8" ht="12.75">
      <c r="A34" s="11" t="s">
        <v>79</v>
      </c>
      <c r="B34" s="12">
        <f>B32*B33*screen</f>
        <v>6.046095874891317</v>
      </c>
      <c r="C34" s="12">
        <f>C32*C33*E10</f>
        <v>6.038698616872057</v>
      </c>
      <c r="G34" s="20">
        <f t="shared" si="1"/>
        <v>1.1000000000000003</v>
      </c>
      <c r="H34" s="20">
        <f t="shared" si="0"/>
        <v>58.177645728600005</v>
      </c>
    </row>
    <row r="35" spans="1:8" ht="15.75">
      <c r="A35" t="s">
        <v>41</v>
      </c>
      <c r="B35" s="16">
        <f>mass1*mass1/(mass1+mass3)/(mass1+mass3)*(cos_angle+SQRT(mass3*mass3/mass1/mass1-sin_angle*sin_angle))^2</f>
        <v>0.5657313606270424</v>
      </c>
      <c r="C35" s="16">
        <f>mass1*mass1/(mass1+mass3)/(mass1+mass3)*(COS(rad*C20)+SQRT(mass3*mass3/mass1/mass1-SIN(rad*C20)*SIN(rad*C20)))^2</f>
        <v>0.5657313606270424</v>
      </c>
      <c r="D35" s="28" t="s">
        <v>81</v>
      </c>
      <c r="E35" s="35">
        <v>816</v>
      </c>
      <c r="G35" s="20">
        <f t="shared" si="1"/>
        <v>1.1500000000000004</v>
      </c>
      <c r="H35" s="20">
        <f t="shared" si="0"/>
        <v>57.31383714283434</v>
      </c>
    </row>
    <row r="36" spans="1:8" ht="15.75">
      <c r="A36" s="11" t="s">
        <v>16</v>
      </c>
      <c r="B36" s="26">
        <f>1000*kSi*e0</f>
        <v>848.5970409405637</v>
      </c>
      <c r="C36" s="26">
        <f>1000*kSi*en0</f>
        <v>848.5970409405637</v>
      </c>
      <c r="D36" s="4" t="s">
        <v>39</v>
      </c>
      <c r="E36" s="35">
        <v>517</v>
      </c>
      <c r="G36" s="20">
        <f t="shared" si="1"/>
        <v>1.2000000000000004</v>
      </c>
      <c r="H36" s="20">
        <f t="shared" si="0"/>
        <v>56.47081123839997</v>
      </c>
    </row>
    <row r="37" spans="1:8" ht="15">
      <c r="A37" s="7" t="s">
        <v>46</v>
      </c>
      <c r="B37" s="6">
        <f>(B31-B36)/(channelSb-channelSi)</f>
        <v>1.522127116925427</v>
      </c>
      <c r="C37" s="6">
        <f>(eBi-eSi)/(channelSb-channelSi)</f>
        <v>1.525856282078137</v>
      </c>
      <c r="G37" s="20">
        <f t="shared" si="1"/>
        <v>1.2500000000000004</v>
      </c>
      <c r="H37" s="20">
        <f t="shared" si="0"/>
        <v>55.64965795898432</v>
      </c>
    </row>
    <row r="38" spans="1:8" ht="15">
      <c r="A38" s="10" t="s">
        <v>37</v>
      </c>
      <c r="B38" s="3">
        <f>B36-dispersion*E36</f>
        <v>61.657321490117965</v>
      </c>
      <c r="C38" s="3">
        <f>eSi-dispersion1*channelSi</f>
        <v>59.72934310616688</v>
      </c>
      <c r="D38" s="3" t="s">
        <v>14</v>
      </c>
      <c r="G38" s="20">
        <f t="shared" si="1"/>
        <v>1.3000000000000005</v>
      </c>
      <c r="H38" s="20">
        <f t="shared" si="0"/>
        <v>54.850632133399884</v>
      </c>
    </row>
    <row r="39" spans="1:8" ht="15.75">
      <c r="A39" s="28" t="s">
        <v>83</v>
      </c>
      <c r="B39" s="35">
        <v>4015</v>
      </c>
      <c r="C39" s="35">
        <v>4015</v>
      </c>
      <c r="G39" s="20">
        <f t="shared" si="1"/>
        <v>1.3500000000000005</v>
      </c>
      <c r="H39" s="20">
        <f t="shared" si="0"/>
        <v>54.07337148595939</v>
      </c>
    </row>
    <row r="40" spans="1:8" ht="15.75">
      <c r="A40" s="4" t="s">
        <v>71</v>
      </c>
      <c r="B40" s="35">
        <v>1.4237</v>
      </c>
      <c r="C40" s="35">
        <v>1.4237</v>
      </c>
      <c r="G40" s="20">
        <f t="shared" si="1"/>
        <v>1.4000000000000006</v>
      </c>
      <c r="H40" s="20">
        <f t="shared" si="0"/>
        <v>53.31709071359997</v>
      </c>
    </row>
    <row r="41" spans="1:8" ht="18.75">
      <c r="A41" s="5" t="s">
        <v>70</v>
      </c>
      <c r="B41" s="36">
        <v>1</v>
      </c>
      <c r="C41" s="36">
        <v>2</v>
      </c>
      <c r="D41" s="8"/>
      <c r="E41" s="8"/>
      <c r="F41" s="8"/>
      <c r="G41" s="20">
        <f>G40+0.05</f>
        <v>1.4500000000000006</v>
      </c>
      <c r="H41" s="20">
        <f t="shared" si="0"/>
        <v>52.580751629759334</v>
      </c>
    </row>
    <row r="42" spans="1:8" ht="15.75">
      <c r="A42" s="4" t="s">
        <v>82</v>
      </c>
      <c r="B42" s="25">
        <f>B40/B41</f>
        <v>1.4237</v>
      </c>
      <c r="C42" s="25">
        <f>C40/C41</f>
        <v>0.71185</v>
      </c>
      <c r="D42" s="8"/>
      <c r="E42" s="8"/>
      <c r="F42" s="8"/>
      <c r="G42" s="20">
        <f aca="true" t="shared" si="2" ref="G42:G62">G41+0.05</f>
        <v>1.5000000000000007</v>
      </c>
      <c r="H42" s="20">
        <f t="shared" si="0"/>
        <v>51.86320937500001</v>
      </c>
    </row>
    <row r="43" spans="1:8" ht="15.75">
      <c r="A43" s="28" t="s">
        <v>80</v>
      </c>
      <c r="B43" s="35">
        <v>5</v>
      </c>
      <c r="C43" s="35">
        <v>5</v>
      </c>
      <c r="D43" s="3">
        <f>1E+23*dose1*mass2/avogadro/rhoBi</f>
        <v>15.274310042888622</v>
      </c>
      <c r="E43" s="27" t="s">
        <v>86</v>
      </c>
      <c r="F43" s="8" t="s">
        <v>14</v>
      </c>
      <c r="G43" s="20">
        <f t="shared" si="2"/>
        <v>1.5500000000000007</v>
      </c>
      <c r="H43" s="20">
        <f t="shared" si="0"/>
        <v>51.16333469438434</v>
      </c>
    </row>
    <row r="44" spans="1:8" ht="15">
      <c r="A44" s="7" t="s">
        <v>19</v>
      </c>
      <c r="B44" s="2">
        <f>counts*COS(rad*tilt)/6.2415/fluence/dose/sigma_lab</f>
        <v>12.943856436987396</v>
      </c>
      <c r="C44" s="2">
        <f>C39*COS(rad*C19)/6.2415/fluence1/dose1/C34</f>
        <v>29.929173642510438</v>
      </c>
      <c r="E44" s="32" t="s">
        <v>85</v>
      </c>
      <c r="G44" s="20">
        <f t="shared" si="2"/>
        <v>1.6000000000000008</v>
      </c>
      <c r="H44" s="20">
        <f t="shared" si="0"/>
        <v>50.4801122815999</v>
      </c>
    </row>
    <row r="45" spans="7:8" ht="12.75">
      <c r="G45" s="20">
        <f t="shared" si="2"/>
        <v>1.6500000000000008</v>
      </c>
      <c r="H45" s="20">
        <f t="shared" si="0"/>
        <v>49.81271518983439</v>
      </c>
    </row>
    <row r="46" spans="7:8" ht="12.75">
      <c r="G46" s="20">
        <f t="shared" si="2"/>
        <v>1.7000000000000008</v>
      </c>
      <c r="H46" s="20">
        <f t="shared" si="0"/>
        <v>49.16055530940001</v>
      </c>
    </row>
    <row r="47" spans="7:8" ht="12.75">
      <c r="G47" s="20">
        <f t="shared" si="2"/>
        <v>1.7500000000000009</v>
      </c>
      <c r="H47" s="20">
        <f t="shared" si="0"/>
        <v>48.52330991210923</v>
      </c>
    </row>
    <row r="48" spans="7:8" ht="12.75">
      <c r="G48" s="20">
        <f t="shared" si="2"/>
        <v>1.800000000000001</v>
      </c>
      <c r="H48" s="20">
        <f t="shared" si="0"/>
        <v>47.90092426239981</v>
      </c>
    </row>
    <row r="49" spans="7:8" ht="12.75">
      <c r="G49" s="20">
        <f t="shared" si="2"/>
        <v>1.850000000000001</v>
      </c>
      <c r="H49" s="20">
        <f t="shared" si="0"/>
        <v>47.29359029520937</v>
      </c>
    </row>
    <row r="50" spans="7:8" ht="12.75">
      <c r="G50" s="20">
        <f t="shared" si="2"/>
        <v>1.900000000000001</v>
      </c>
      <c r="H50" s="20">
        <f t="shared" si="0"/>
        <v>46.70170136059991</v>
      </c>
    </row>
    <row r="51" spans="7:8" ht="12.75">
      <c r="G51" s="20">
        <f t="shared" si="2"/>
        <v>1.950000000000001</v>
      </c>
      <c r="H51" s="20">
        <f t="shared" si="0"/>
        <v>46.12578303513426</v>
      </c>
    </row>
    <row r="52" spans="7:8" ht="12.75">
      <c r="G52" s="20">
        <f t="shared" si="2"/>
        <v>2.000000000000001</v>
      </c>
      <c r="H52" s="20">
        <f t="shared" si="0"/>
        <v>45.566399999999874</v>
      </c>
    </row>
    <row r="53" spans="7:8" ht="12.75">
      <c r="G53" s="20">
        <f t="shared" si="2"/>
        <v>2.0500000000000007</v>
      </c>
      <c r="H53" s="20">
        <f t="shared" si="0"/>
        <v>45.024038985883976</v>
      </c>
    </row>
    <row r="54" spans="7:8" ht="12.75">
      <c r="G54" s="20">
        <f t="shared" si="2"/>
        <v>2.1000000000000005</v>
      </c>
      <c r="H54" s="20">
        <f t="shared" si="0"/>
        <v>44.498967784599984</v>
      </c>
    </row>
    <row r="55" spans="7:8" ht="12.75">
      <c r="G55" s="20">
        <f t="shared" si="2"/>
        <v>2.1500000000000004</v>
      </c>
      <c r="H55" s="20">
        <f t="shared" si="0"/>
        <v>43.99107032745928</v>
      </c>
    </row>
    <row r="56" spans="7:8" ht="12.75">
      <c r="G56" s="20">
        <f t="shared" si="2"/>
        <v>2.2</v>
      </c>
      <c r="H56" s="20">
        <f t="shared" si="0"/>
        <v>43.499657830400025</v>
      </c>
    </row>
    <row r="57" spans="7:8" ht="12.75">
      <c r="G57" s="20">
        <f t="shared" si="2"/>
        <v>2.25</v>
      </c>
      <c r="H57" s="20">
        <f t="shared" si="0"/>
        <v>43.02325600585954</v>
      </c>
    </row>
    <row r="58" spans="7:8" ht="12.75">
      <c r="G58" s="20">
        <f t="shared" si="2"/>
        <v>2.3</v>
      </c>
      <c r="H58" s="20">
        <f t="shared" si="0"/>
        <v>42.5593683414001</v>
      </c>
    </row>
    <row r="59" spans="7:8" ht="12.75">
      <c r="G59" s="20">
        <f t="shared" si="2"/>
        <v>2.3499999999999996</v>
      </c>
      <c r="H59" s="20">
        <f t="shared" si="0"/>
        <v>42.10421544508472</v>
      </c>
    </row>
    <row r="60" spans="7:8" ht="12.75">
      <c r="G60" s="20">
        <f t="shared" si="2"/>
        <v>2.3999999999999995</v>
      </c>
      <c r="H60" s="20">
        <f t="shared" si="0"/>
        <v>41.652450457599</v>
      </c>
    </row>
    <row r="61" spans="7:8" ht="12.75">
      <c r="G61" s="20">
        <f t="shared" si="2"/>
        <v>2.4499999999999993</v>
      </c>
      <c r="H61" s="20">
        <f t="shared" si="0"/>
        <v>41.19685053113403</v>
      </c>
    </row>
    <row r="62" spans="7:8" ht="12.75">
      <c r="G62" s="20">
        <f t="shared" si="2"/>
        <v>2.499999999999999</v>
      </c>
      <c r="H62" s="20">
        <f t="shared" si="0"/>
        <v>40.727984375000005</v>
      </c>
    </row>
    <row r="63" ht="12.75">
      <c r="G63"/>
    </row>
    <row r="64" ht="12.75">
      <c r="G64"/>
    </row>
    <row r="65" ht="12.75">
      <c r="G65" s="8" t="s">
        <v>14</v>
      </c>
    </row>
    <row r="66" ht="12.75">
      <c r="G66" s="8" t="s">
        <v>14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&amp;L&amp;F&amp;C&amp;D</oddHeader>
  </headerFooter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WNL</dc:creator>
  <cp:keywords/>
  <dc:description/>
  <cp:lastModifiedBy>l</cp:lastModifiedBy>
  <dcterms:created xsi:type="dcterms:W3CDTF">2002-06-07T12:49:02Z</dcterms:created>
  <dcterms:modified xsi:type="dcterms:W3CDTF">2013-06-03T19:39:50Z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-999068458</vt:i4>
  </property>
  <property fmtid="{D5CDD505-2E9C-101B-9397-08002B2CF9AE}" pid="3" name="_EmailSubject">
    <vt:lpwstr/>
  </property>
  <property fmtid="{D5CDD505-2E9C-101B-9397-08002B2CF9AE}" pid="4" name="_AuthorEmail">
    <vt:lpwstr>willylennard@sympatico.ca</vt:lpwstr>
  </property>
  <property fmtid="{D5CDD505-2E9C-101B-9397-08002B2CF9AE}" pid="5" name="_AuthorEmailDisplayName">
    <vt:lpwstr>W.N. Lennard</vt:lpwstr>
  </property>
  <property fmtid="{D5CDD505-2E9C-101B-9397-08002B2CF9AE}" pid="6" name="_PreviousAdHocReviewCycleID">
    <vt:i4>-999068458</vt:i4>
  </property>
  <property fmtid="{D5CDD505-2E9C-101B-9397-08002B2CF9AE}" pid="7" name="_ReviewingToolsShownOnce">
    <vt:lpwstr/>
  </property>
</Properties>
</file>